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Monthly costs" state="visible" r:id="rId5"/>
    <sheet sheetId="3" name="Startup costs" state="visible" r:id="rId6"/>
    <sheet sheetId="4" name="Break-even" state="visible" r:id="rId7"/>
    <sheet sheetId="5" name="Retention ceiling" state="visible" r:id="rId8"/>
    <sheet sheetId="6" name="12-month scenarios" state="visible" r:id="rId9"/>
    <sheet sheetId="7" name="Year-1 revenue" state="visible" r:id="rId10"/>
  </sheets>
  <calcPr calcId="171027"/>
</workbook>
</file>

<file path=xl/sharedStrings.xml><?xml version="1.0" encoding="utf-8"?>
<sst xmlns="http://schemas.openxmlformats.org/spreadsheetml/2006/main" count="170" uniqueCount="141">
  <si>
    <t>Martial arts break-even calculator</t>
  </si>
  <si>
    <t>A companion to the Pembee guide: www.pembee.app/blog/martial-arts-business-plan</t>
  </si>
  <si>
    <t>How to use this workbook:</t>
  </si>
  <si>
    <t>1. Only edit the yellow cells. Everything else recalculates automatically.</t>
  </si>
  <si>
    <t>2. Set your pricing and owner pay below, then replace the sample numbers on the Monthly costs and Startup costs tabs.</t>
  </si>
  <si>
    <t>3. The Break-even tab returns two member counts: one that covers the school's costs and one that also pays you.</t>
  </si>
  <si>
    <t>4. The Retention ceiling tab shows where your school levels off for a given sign-up rate and churn.</t>
  </si>
  <si>
    <t>5. The 12-month scenarios tab projects members and cash under conservative, base and strong assumptions.</t>
  </si>
  <si>
    <t/>
  </si>
  <si>
    <t>The prefilled numbers are the illustrative sample school from the guide: a 2,400 sq ft suburban unit at $3,000 a</t>
  </si>
  <si>
    <t>month, $150 list tuition, and 20 founding members from a pre-sale. Swap in your own local quotes.</t>
  </si>
  <si>
    <t>Pembee handles the admin the plan creates: trial class booking, recurring memberships, waivers, attendance and</t>
  </si>
  <si>
    <t>family accounts. Free trial at www.pembee.app, no card required.</t>
  </si>
  <si>
    <t>Key inputs</t>
  </si>
  <si>
    <t>Value</t>
  </si>
  <si>
    <t>Notes</t>
  </si>
  <si>
    <t>List tuition price per month</t>
  </si>
  <si>
    <t>The price on your website. Most schools sit in the $100 to $200 range.</t>
  </si>
  <si>
    <t>Realized revenue as % of list</t>
  </si>
  <si>
    <t>After sibling, paid-in-full, founding-member and staff discounts</t>
  </si>
  <si>
    <t>Realized tuition per member</t>
  </si>
  <si>
    <t>Once open, use tuition collected ÷ active members from your billing reports</t>
  </si>
  <si>
    <t>Card processing fee</t>
  </si>
  <si>
    <t>Contribution per member</t>
  </si>
  <si>
    <t>What each member puts toward fixed costs. This drives every break-even number.</t>
  </si>
  <si>
    <t>Owner pay per month</t>
  </si>
  <si>
    <t>The salary you need the school to pay you</t>
  </si>
  <si>
    <t>Founding members at opening</t>
  </si>
  <si>
    <t>Members signed from the pre-sale before opening day</t>
  </si>
  <si>
    <t>Monthly operating costs</t>
  </si>
  <si>
    <t>Fixed costs you pay every month whether you have 20 members or 200. Edit the yellow cells.</t>
  </si>
  <si>
    <t>Line item</t>
  </si>
  <si>
    <t>Monthly cost</t>
  </si>
  <si>
    <t>Rent</t>
  </si>
  <si>
    <t>2,400 sq ft unit; get real quotes for your market</t>
  </si>
  <si>
    <t>Utilities and internet</t>
  </si>
  <si>
    <t>Insurance</t>
  </si>
  <si>
    <t>$2,000 a year; $1,000 to $5,000+ is typical</t>
  </si>
  <si>
    <t>Part-time instructor</t>
  </si>
  <si>
    <t>15 hours a week at $25 an hour, plus payroll taxes</t>
  </si>
  <si>
    <t>Software and website</t>
  </si>
  <si>
    <t>Booking, billing, waivers, attendance</t>
  </si>
  <si>
    <t>Marketing</t>
  </si>
  <si>
    <t>Cleaning and supplies</t>
  </si>
  <si>
    <t>Accounting, bank fees, miscellaneous</t>
  </si>
  <si>
    <t>Loan repayment</t>
  </si>
  <si>
    <t>About $40,000 borrowed over 5 years</t>
  </si>
  <si>
    <t>Fixed costs before owner pay</t>
  </si>
  <si>
    <t>Fixed costs including owner pay</t>
  </si>
  <si>
    <t>Owner pay is set on the Start here tab</t>
  </si>
  <si>
    <t>Variable costs (card processing at about 3% of revenue, direct costs of camps and parties) are handled separately on the Year-1 revenue tab.</t>
  </si>
  <si>
    <t>One-off startup costs</t>
  </si>
  <si>
    <t>Everything you spend before and around opening day. Edit the yellow cells with real quotes.</t>
  </si>
  <si>
    <t>Your budget</t>
  </si>
  <si>
    <t>Lease deposit and first month</t>
  </si>
  <si>
    <t>One month's security deposit plus the first month's rent</t>
  </si>
  <si>
    <t>Build-out (paint, lighting, changing area, reception)</t>
  </si>
  <si>
    <t>Close to zero in a former studio, $50,000+ in a raw unit</t>
  </si>
  <si>
    <t>Mats (about 1,500 sq ft)</t>
  </si>
  <si>
    <t>1.5-inch puzzle mats run just over $3 per square foot</t>
  </si>
  <si>
    <t>Wall padding and training equipment</t>
  </si>
  <si>
    <t>Heavy bags, shields, pads, kick targets</t>
  </si>
  <si>
    <t>Signage and exterior</t>
  </si>
  <si>
    <t>Legal, LLC, permits, accounting setup</t>
  </si>
  <si>
    <t>First-year insurance</t>
  </si>
  <si>
    <t>Uniform and gear starting inventory</t>
  </si>
  <si>
    <t>Resold to students</t>
  </si>
  <si>
    <t>Software and website setup (first year)</t>
  </si>
  <si>
    <t>Pre-launch marketing</t>
  </si>
  <si>
    <t>Subtotal before reserve</t>
  </si>
  <si>
    <t>Operating reserve</t>
  </si>
  <si>
    <t>About 4 months of fixed costs excluding loan repayments. Covers losses until the school breaks even.</t>
  </si>
  <si>
    <t>Total startup cost</t>
  </si>
  <si>
    <t>The reserve is the line most first plans leave out. Check it against the lowest point of cumulative cash on the 12-month scenarios tab.</t>
  </si>
  <si>
    <t>How many members do you need?</t>
  </si>
  <si>
    <t>Break-even members = monthly fixed costs ÷ contribution per member. Inputs come from the other tabs.</t>
  </si>
  <si>
    <t>Contribution per member (Start here tab)</t>
  </si>
  <si>
    <t>Fixed monthly costs before owner pay (Monthly costs tab)</t>
  </si>
  <si>
    <t>Owner pay per month (Start here tab)</t>
  </si>
  <si>
    <t>Business break-even: members that cover the school's costs</t>
  </si>
  <si>
    <t>Pays rent, staff, insurance, loan and marketing, but pays you nothing</t>
  </si>
  <si>
    <t>Owner break-even: members that also pay you</t>
  </si>
  <si>
    <t>The number your household budget cares about</t>
  </si>
  <si>
    <t>Break-even here is monthly: the month income covers that month's costs. Cash break-even, when you have earned back the early losses, comes later. That gap is what the reserve is for.</t>
  </si>
  <si>
    <t>Monthly result at different member counts</t>
  </si>
  <si>
    <t>Members</t>
  </si>
  <si>
    <t>Before owner pay</t>
  </si>
  <si>
    <t>After owner pay</t>
  </si>
  <si>
    <t>At business break-even</t>
  </si>
  <si>
    <t>At owner break-even</t>
  </si>
  <si>
    <t>The retention ceiling: where your school levels off</t>
  </si>
  <si>
    <t>Maximum members = new members per month ÷ monthly churn rate. Every school loses some students; this is where sign-ups and cancellations balance.</t>
  </si>
  <si>
    <t>New members per month</t>
  </si>
  <si>
    <t>Monthly churn rate</t>
  </si>
  <si>
    <t>Cancellations ÷ members at the start of the month</t>
  </si>
  <si>
    <t>Long-run ceiling (members)</t>
  </si>
  <si>
    <t>10 new a month at 5% churn tops out at 200, however many years the school runs</t>
  </si>
  <si>
    <t>Sensitivity: ceiling by sign-ups and churn</t>
  </si>
  <si>
    <t>Rows are new members per month; columns are monthly churn. Yellow cells are editable.</t>
  </si>
  <si>
    <t>New per month \ churn</t>
  </si>
  <si>
    <t>Use this to test a forecast. To hold 250 members on 8 sign-ups a month, churn has to be 3.2% or lower. If you can't explain how, the forecast comes down or the marketing plan goes up.</t>
  </si>
  <si>
    <t>Your first 12 months: three enrollment scenarios</t>
  </si>
  <si>
    <t>Members next month = members this month × (1 − churn rate) + new members. Each scenario starts from the founding members on the Start here tab. Edit the yellow cells.</t>
  </si>
  <si>
    <t>Conservative</t>
  </si>
  <si>
    <t>Base</t>
  </si>
  <si>
    <t>Strong</t>
  </si>
  <si>
    <t>Founding members (Start here tab)</t>
  </si>
  <si>
    <t>Month</t>
  </si>
  <si>
    <t>Monthly cash</t>
  </si>
  <si>
    <t>Cumulative cash</t>
  </si>
  <si>
    <t>Month costs are covered</t>
  </si>
  <si>
    <t>Month owner is paid</t>
  </si>
  <si>
    <t>Long-run ceiling (new ÷ churn)</t>
  </si>
  <si>
    <t>Lowest point of cumulative cash</t>
  </si>
  <si>
    <t>Operating reserve (Startup costs tab)</t>
  </si>
  <si>
    <t>Reserve left at the lowest point</t>
  </si>
  <si>
    <t>Year-1 member-months</t>
  </si>
  <si>
    <t>Monthly cash = members × contribution per member − fixed costs before owner pay. It ignores belt fees, gear, camps and parties, so it is deliberately conservative.</t>
  </si>
  <si>
    <t>If the reserve left at the lowest point goes negative, the school runs out of cash before the line turns. Raise the reserve, the sign-up rate, or the retention.</t>
  </si>
  <si>
    <t>Sample year-1 revenue build (base scenario)</t>
  </si>
  <si>
    <t>Tuition is most of the money, but not all of it. Each extra line has its own assumption so you can check it against reality later.</t>
  </si>
  <si>
    <t>Revenue line</t>
  </si>
  <si>
    <t>Units</t>
  </si>
  <si>
    <t>Rate</t>
  </si>
  <si>
    <t>Multiplier</t>
  </si>
  <si>
    <t>Year 1</t>
  </si>
  <si>
    <t>Tuition (member-months × realized tuition)</t>
  </si>
  <si>
    <t>Member-months come from the base column on the 12-month scenarios tab</t>
  </si>
  <si>
    <t>Belt testing and gear (per member-month)</t>
  </si>
  <si>
    <t>Summer camp (weeks × price per week × kids)</t>
  </si>
  <si>
    <t>Birthday parties (parties × price)</t>
  </si>
  <si>
    <t>Total revenue</t>
  </si>
  <si>
    <t>Year-1 costs</t>
  </si>
  <si>
    <t>Fixed costs before owner pay × 12</t>
  </si>
  <si>
    <t>Card processing fees (% of revenue)</t>
  </si>
  <si>
    <t>Direct costs of camps and parties</t>
  </si>
  <si>
    <t>Total costs</t>
  </si>
  <si>
    <t>Profit before owner pay</t>
  </si>
  <si>
    <t>Owner pay target (monthly × 12)</t>
  </si>
  <si>
    <t>Surplus / (shortfall) against owner pay</t>
  </si>
  <si>
    <t>In the sample school the early months run at a loss, covered by the reserve, and the later months carry the year. Year one is short of the full owner salary; year two, starting above owner break-even, is where it pays.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</si>
</sst>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.00"/>
  </numFmts>
  <fonts count="9" x14ac:knownFonts="1">
    <font>
      <color theme="1"/>
      <family val="2"/>
      <scheme val="minor"/>
      <sz val="11"/>
      <name val="Calibri"/>
    </font>
    <font>
      <b/>
      <color rgb="FF1F2937"/>
      <sz val="16"/>
    </font>
    <font>
      <i/>
      <color rgb="FF6B7280"/>
      <sz val="10"/>
    </font>
    <font>
      <b/>
    </font>
    <font>
      <color rgb="FF1F2937"/>
      <sz val="11"/>
    </font>
    <font>
      <b/>
      <color rgb="FFFFFFFF"/>
      <sz val="11"/>
    </font>
    <font>
      <b/>
      <color rgb="FF1F2937"/>
      <sz val="11"/>
    </font>
    <font>
      <b/>
      <color rgb="FF5850EC"/>
      <sz val="13"/>
    </font>
    <font>
      <b/>
      <color rgb="FF5850EC"/>
      <sz val="12"/>
    </font>
  </fonts>
  <fills count="5">
    <fill>
      <patternFill patternType="none"/>
    </fill>
    <fill>
      <patternFill patternType="gray125"/>
    </fill>
    <fill>
      <patternFill patternType="solid">
        <fgColor rgb="FF5850EC"/>
      </patternFill>
    </fill>
    <fill>
      <patternFill patternType="solid">
        <fgColor rgb="FFFEF9C3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164" fontId="0" fillId="3" borderId="1" xfId="0" applyNumberFormat="1" applyFill="1" applyBorder="1"/>
    <xf numFmtId="9" fontId="0" fillId="3" borderId="1" xfId="0" applyNumberFormat="1" applyFill="1" applyBorder="1"/>
    <xf numFmtId="164" fontId="0" fillId="0" borderId="0" xfId="0" applyNumberFormat="1"/>
    <xf numFmtId="0" fontId="6" fillId="0" borderId="0" xfId="0" applyFont="1"/>
    <xf numFmtId="165" fontId="3" fillId="0" borderId="0" xfId="0" applyNumberFormat="1" applyFont="1"/>
    <xf numFmtId="3" fontId="0" fillId="3" borderId="1" xfId="0" applyNumberFormat="1" applyFill="1" applyBorder="1"/>
    <xf numFmtId="164" fontId="3" fillId="4" borderId="0" xfId="0" applyNumberFormat="1" applyFont="1" applyFill="1"/>
    <xf numFmtId="164" fontId="3" fillId="0" borderId="0" xfId="0" applyNumberFormat="1" applyFont="1"/>
    <xf numFmtId="165" fontId="0" fillId="0" borderId="0" xfId="0" applyNumberFormat="1"/>
    <xf numFmtId="3" fontId="7" fillId="4" borderId="0" xfId="0" applyNumberFormat="1" applyFont="1" applyFill="1"/>
    <xf numFmtId="9" fontId="3" fillId="3" borderId="1" xfId="0" applyNumberFormat="1" applyFont="1" applyFill="1" applyBorder="1"/>
    <xf numFmtId="3" fontId="3" fillId="3" borderId="1" xfId="0" applyNumberFormat="1" applyFont="1" applyFill="1" applyBorder="1"/>
    <xf numFmtId="3" fontId="0" fillId="0" borderId="0" xfId="0" applyNumberFormat="1"/>
    <xf numFmtId="0" fontId="8" fillId="0" borderId="0" xfId="0" applyFont="1"/>
    <xf numFmtId="1" fontId="0" fillId="0" borderId="0" xfId="0" applyNumberFormat="1"/>
    <xf numFmtId="3" fontId="3" fillId="0" borderId="0" xfId="0" applyNumberFormat="1" applyFont="1"/>
    <xf numFmtId="9" fontId="0" fillId="0" borderId="0" xfId="0" applyNumberFormat="1"/>
    <xf numFmtId="164" fontId="7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6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8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3" x14ac:dyDescent="0.25">
      <c r="A17" s="5" t="s">
        <v>13</v>
      </c>
      <c r="B17" s="5" t="s">
        <v>14</v>
      </c>
      <c r="C17" s="5" t="s">
        <v>15</v>
      </c>
    </row>
    <row r="18" spans="1:3" x14ac:dyDescent="0.25">
      <c r="A18" s="4" t="s">
        <v>16</v>
      </c>
      <c r="B18" s="6">
        <v>150</v>
      </c>
      <c r="C18" s="2" t="s">
        <v>17</v>
      </c>
    </row>
    <row r="19" spans="1:3" x14ac:dyDescent="0.25">
      <c r="A19" s="4" t="s">
        <v>18</v>
      </c>
      <c r="B19" s="7">
        <v>0.9</v>
      </c>
      <c r="C19" s="2" t="s">
        <v>19</v>
      </c>
    </row>
    <row r="20" spans="1:3" x14ac:dyDescent="0.25">
      <c r="A20" s="4" t="s">
        <v>20</v>
      </c>
      <c r="B20" s="8">
        <f>B18*B19</f>
        <v>135</v>
      </c>
      <c r="C20" s="2" t="s">
        <v>21</v>
      </c>
    </row>
    <row r="21" spans="1:2" x14ac:dyDescent="0.25">
      <c r="A21" s="4" t="s">
        <v>22</v>
      </c>
      <c r="B21" s="7">
        <v>0.03</v>
      </c>
    </row>
    <row r="22" spans="1:3" x14ac:dyDescent="0.25">
      <c r="A22" s="9" t="s">
        <v>23</v>
      </c>
      <c r="B22" s="10">
        <f>B20*(1-B21)</f>
        <v>130.95</v>
      </c>
      <c r="C22" s="2" t="s">
        <v>24</v>
      </c>
    </row>
    <row r="23" spans="1:3" x14ac:dyDescent="0.25">
      <c r="A23" s="4" t="s">
        <v>25</v>
      </c>
      <c r="B23" s="6">
        <v>4000</v>
      </c>
      <c r="C23" s="2" t="s">
        <v>26</v>
      </c>
    </row>
    <row r="24" spans="1:3" x14ac:dyDescent="0.25">
      <c r="A24" s="4" t="s">
        <v>27</v>
      </c>
      <c r="B24" s="11">
        <v>20</v>
      </c>
      <c r="C24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52" customWidth="1"/>
  </cols>
  <sheetData>
    <row r="1" spans="1:1" x14ac:dyDescent="0.25">
      <c r="A1" s="1" t="s">
        <v>29</v>
      </c>
    </row>
    <row r="2" spans="1:1" x14ac:dyDescent="0.25">
      <c r="A2" s="2" t="s">
        <v>30</v>
      </c>
    </row>
    <row r="4" spans="1:3" x14ac:dyDescent="0.25">
      <c r="A4" s="5" t="s">
        <v>31</v>
      </c>
      <c r="B4" s="5" t="s">
        <v>32</v>
      </c>
      <c r="C4" s="5" t="s">
        <v>15</v>
      </c>
    </row>
    <row r="5" spans="1:3" x14ac:dyDescent="0.25">
      <c r="A5" s="4" t="s">
        <v>33</v>
      </c>
      <c r="B5" s="6">
        <v>3000</v>
      </c>
      <c r="C5" s="2" t="s">
        <v>34</v>
      </c>
    </row>
    <row r="6" spans="1:3" x14ac:dyDescent="0.25">
      <c r="A6" s="4" t="s">
        <v>35</v>
      </c>
      <c r="B6" s="6">
        <v>450</v>
      </c>
      <c r="C6" s="2" t="s">
        <v>8</v>
      </c>
    </row>
    <row r="7" spans="1:3" x14ac:dyDescent="0.25">
      <c r="A7" s="4" t="s">
        <v>36</v>
      </c>
      <c r="B7" s="6">
        <v>170</v>
      </c>
      <c r="C7" s="2" t="s">
        <v>37</v>
      </c>
    </row>
    <row r="8" spans="1:3" x14ac:dyDescent="0.25">
      <c r="A8" s="4" t="s">
        <v>38</v>
      </c>
      <c r="B8" s="6">
        <v>1800</v>
      </c>
      <c r="C8" s="2" t="s">
        <v>39</v>
      </c>
    </row>
    <row r="9" spans="1:3" x14ac:dyDescent="0.25">
      <c r="A9" s="4" t="s">
        <v>40</v>
      </c>
      <c r="B9" s="6">
        <v>100</v>
      </c>
      <c r="C9" s="2" t="s">
        <v>41</v>
      </c>
    </row>
    <row r="10" spans="1:3" x14ac:dyDescent="0.25">
      <c r="A10" s="4" t="s">
        <v>42</v>
      </c>
      <c r="B10" s="6">
        <v>800</v>
      </c>
      <c r="C10" s="2" t="s">
        <v>8</v>
      </c>
    </row>
    <row r="11" spans="1:3" x14ac:dyDescent="0.25">
      <c r="A11" s="4" t="s">
        <v>43</v>
      </c>
      <c r="B11" s="6">
        <v>300</v>
      </c>
      <c r="C11" s="2" t="s">
        <v>8</v>
      </c>
    </row>
    <row r="12" spans="1:3" x14ac:dyDescent="0.25">
      <c r="A12" s="4" t="s">
        <v>44</v>
      </c>
      <c r="B12" s="6">
        <v>300</v>
      </c>
      <c r="C12" s="2" t="s">
        <v>8</v>
      </c>
    </row>
    <row r="13" spans="1:3" x14ac:dyDescent="0.25">
      <c r="A13" s="4" t="s">
        <v>45</v>
      </c>
      <c r="B13" s="6">
        <v>850</v>
      </c>
      <c r="C13" s="2" t="s">
        <v>46</v>
      </c>
    </row>
    <row r="14" spans="1:2" x14ac:dyDescent="0.25">
      <c r="A14" s="9" t="s">
        <v>47</v>
      </c>
      <c r="B14" s="12">
        <f>SUM(B5:B13)</f>
        <v>7770</v>
      </c>
    </row>
    <row r="15" spans="1:3" x14ac:dyDescent="0.25">
      <c r="A15" s="4" t="s">
        <v>48</v>
      </c>
      <c r="B15" s="8">
        <f>B14+'Start here'!B23</f>
        <v>11770</v>
      </c>
      <c r="C15" s="2" t="s">
        <v>49</v>
      </c>
    </row>
    <row r="17" spans="1:1" x14ac:dyDescent="0.25">
      <c r="A17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 showGridLines="0"/>
  </sheetViews>
  <sheetFormatPr defaultRowHeight="15" outlineLevelRow="0" outlineLevelCol="0" x14ac:dyDescent="55"/>
  <cols>
    <col min="1" max="1" width="56" customWidth="1"/>
    <col min="2" max="2" width="16" customWidth="1"/>
    <col min="3" max="3" width="56" customWidth="1"/>
  </cols>
  <sheetData>
    <row r="1" spans="1:1" x14ac:dyDescent="0.25">
      <c r="A1" s="1" t="s">
        <v>51</v>
      </c>
    </row>
    <row r="2" spans="1:1" x14ac:dyDescent="0.25">
      <c r="A2" s="2" t="s">
        <v>52</v>
      </c>
    </row>
    <row r="4" spans="1:3" x14ac:dyDescent="0.25">
      <c r="A4" s="5" t="s">
        <v>31</v>
      </c>
      <c r="B4" s="5" t="s">
        <v>53</v>
      </c>
      <c r="C4" s="5" t="s">
        <v>15</v>
      </c>
    </row>
    <row r="5" spans="1:3" x14ac:dyDescent="0.25">
      <c r="A5" s="4" t="s">
        <v>54</v>
      </c>
      <c r="B5" s="6">
        <v>6000</v>
      </c>
      <c r="C5" s="2" t="s">
        <v>55</v>
      </c>
    </row>
    <row r="6" spans="1:3" x14ac:dyDescent="0.25">
      <c r="A6" s="4" t="s">
        <v>56</v>
      </c>
      <c r="B6" s="6">
        <v>15000</v>
      </c>
      <c r="C6" s="2" t="s">
        <v>57</v>
      </c>
    </row>
    <row r="7" spans="1:3" x14ac:dyDescent="0.25">
      <c r="A7" s="4" t="s">
        <v>58</v>
      </c>
      <c r="B7" s="6">
        <v>4900</v>
      </c>
      <c r="C7" s="2" t="s">
        <v>59</v>
      </c>
    </row>
    <row r="8" spans="1:3" x14ac:dyDescent="0.25">
      <c r="A8" s="4" t="s">
        <v>60</v>
      </c>
      <c r="B8" s="6">
        <v>6000</v>
      </c>
      <c r="C8" s="2" t="s">
        <v>61</v>
      </c>
    </row>
    <row r="9" spans="1:3" x14ac:dyDescent="0.25">
      <c r="A9" s="4" t="s">
        <v>62</v>
      </c>
      <c r="B9" s="6">
        <v>2500</v>
      </c>
      <c r="C9" s="2" t="s">
        <v>8</v>
      </c>
    </row>
    <row r="10" spans="1:3" x14ac:dyDescent="0.25">
      <c r="A10" s="4" t="s">
        <v>63</v>
      </c>
      <c r="B10" s="6">
        <v>1500</v>
      </c>
      <c r="C10" s="2" t="s">
        <v>8</v>
      </c>
    </row>
    <row r="11" spans="1:3" x14ac:dyDescent="0.25">
      <c r="A11" s="4" t="s">
        <v>64</v>
      </c>
      <c r="B11" s="6">
        <v>2000</v>
      </c>
      <c r="C11" s="2" t="s">
        <v>8</v>
      </c>
    </row>
    <row r="12" spans="1:3" x14ac:dyDescent="0.25">
      <c r="A12" s="4" t="s">
        <v>65</v>
      </c>
      <c r="B12" s="6">
        <v>3000</v>
      </c>
      <c r="C12" s="2" t="s">
        <v>66</v>
      </c>
    </row>
    <row r="13" spans="1:3" x14ac:dyDescent="0.25">
      <c r="A13" s="4" t="s">
        <v>67</v>
      </c>
      <c r="B13" s="6">
        <v>1500</v>
      </c>
      <c r="C13" s="2" t="s">
        <v>8</v>
      </c>
    </row>
    <row r="14" spans="1:3" x14ac:dyDescent="0.25">
      <c r="A14" s="4" t="s">
        <v>68</v>
      </c>
      <c r="B14" s="6">
        <v>5000</v>
      </c>
      <c r="C14" s="2" t="s">
        <v>8</v>
      </c>
    </row>
    <row r="15" spans="1:2" x14ac:dyDescent="0.25">
      <c r="A15" s="9" t="s">
        <v>69</v>
      </c>
      <c r="B15" s="13">
        <f>SUM(B5:B14)</f>
        <v>47400</v>
      </c>
    </row>
    <row r="16" spans="1:3" x14ac:dyDescent="0.25">
      <c r="A16" s="4" t="s">
        <v>70</v>
      </c>
      <c r="B16" s="6">
        <v>28000</v>
      </c>
      <c r="C16" s="2" t="s">
        <v>71</v>
      </c>
    </row>
    <row r="17" spans="1:2" x14ac:dyDescent="0.25">
      <c r="A17" s="9" t="s">
        <v>72</v>
      </c>
      <c r="B17" s="12">
        <f>B15+B16</f>
        <v>75400</v>
      </c>
    </row>
    <row r="19" spans="1:1" x14ac:dyDescent="0.25">
      <c r="A19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16" customWidth="1"/>
    <col min="3" max="4" width="22" customWidth="1"/>
  </cols>
  <sheetData>
    <row r="1" spans="1:1" x14ac:dyDescent="0.25">
      <c r="A1" s="1" t="s">
        <v>74</v>
      </c>
    </row>
    <row r="2" spans="1:1" x14ac:dyDescent="0.25">
      <c r="A2" s="2" t="s">
        <v>75</v>
      </c>
    </row>
    <row r="4" spans="1:2" x14ac:dyDescent="0.25">
      <c r="A4" s="4" t="s">
        <v>76</v>
      </c>
      <c r="B4" s="14">
        <f>'Start here'!B22</f>
        <v>130.95</v>
      </c>
    </row>
    <row r="5" spans="1:2" x14ac:dyDescent="0.25">
      <c r="A5" s="4" t="s">
        <v>77</v>
      </c>
      <c r="B5" s="8">
        <f>'Monthly costs'!$B$14</f>
        <v>7770</v>
      </c>
    </row>
    <row r="6" spans="1:2" x14ac:dyDescent="0.25">
      <c r="A6" s="4" t="s">
        <v>78</v>
      </c>
      <c r="B6" s="8">
        <f>'Start here'!B23</f>
        <v>4000</v>
      </c>
    </row>
    <row r="8" spans="1:3" x14ac:dyDescent="0.25">
      <c r="A8" s="9" t="s">
        <v>79</v>
      </c>
      <c r="B8" s="15">
        <f>ROUNDUP(B5/B4,0)</f>
        <v>60</v>
      </c>
      <c r="C8" s="2" t="s">
        <v>80</v>
      </c>
    </row>
    <row r="9" spans="1:3" x14ac:dyDescent="0.25">
      <c r="A9" s="9" t="s">
        <v>81</v>
      </c>
      <c r="B9" s="15">
        <f>ROUNDUP((B5+B6)/B4,0)</f>
        <v>90</v>
      </c>
      <c r="C9" s="2" t="s">
        <v>82</v>
      </c>
    </row>
    <row r="11" spans="1:1" x14ac:dyDescent="0.25">
      <c r="A11" s="2" t="s">
        <v>83</v>
      </c>
    </row>
    <row r="13" spans="1:4" x14ac:dyDescent="0.25">
      <c r="A13" s="5" t="s">
        <v>84</v>
      </c>
      <c r="B13" s="5" t="s">
        <v>85</v>
      </c>
      <c r="C13" s="5" t="s">
        <v>86</v>
      </c>
      <c r="D13" s="5" t="s">
        <v>87</v>
      </c>
    </row>
    <row r="14" spans="1:4" x14ac:dyDescent="0.25">
      <c r="A14" s="4" t="s">
        <v>8</v>
      </c>
      <c r="B14" s="11">
        <v>40</v>
      </c>
      <c r="C14" s="8">
        <f>B14*$B$4-$B$5</f>
        <v>-2532</v>
      </c>
      <c r="D14" s="8">
        <f>C14-$B$6</f>
        <v>-6532</v>
      </c>
    </row>
    <row r="15" spans="1:4" x14ac:dyDescent="0.25">
      <c r="A15" s="4" t="s">
        <v>88</v>
      </c>
      <c r="B15" s="11">
        <v>60</v>
      </c>
      <c r="C15" s="8">
        <f>B15*$B$4-$B$5</f>
        <v>86.99999999999909</v>
      </c>
      <c r="D15" s="8">
        <f>C15-$B$6</f>
        <v>-3913.000000000001</v>
      </c>
    </row>
    <row r="16" spans="1:4" x14ac:dyDescent="0.25">
      <c r="A16" s="4" t="s">
        <v>89</v>
      </c>
      <c r="B16" s="11">
        <v>90</v>
      </c>
      <c r="C16" s="8">
        <f>B16*$B$4-$B$5</f>
        <v>4015.499999999998</v>
      </c>
      <c r="D16" s="8">
        <f>C16-$B$6</f>
        <v>15.499999999998181</v>
      </c>
    </row>
    <row r="17" spans="1:4" x14ac:dyDescent="0.25">
      <c r="A17" s="4" t="s">
        <v>8</v>
      </c>
      <c r="B17" s="11">
        <v>120</v>
      </c>
      <c r="C17" s="8">
        <f>B17*$B$4-$B$5</f>
        <v>7943.999999999998</v>
      </c>
      <c r="D17" s="8">
        <f>C17-$B$6</f>
        <v>3943.999999999998</v>
      </c>
    </row>
    <row r="18" spans="1:4" x14ac:dyDescent="0.25">
      <c r="A18" s="4" t="s">
        <v>8</v>
      </c>
      <c r="B18" s="11">
        <v>150</v>
      </c>
      <c r="C18" s="8">
        <f>B18*$B$4-$B$5</f>
        <v>11872.5</v>
      </c>
      <c r="D18" s="8">
        <f>C18-$B$6</f>
        <v>7872.5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/>
  </sheetViews>
  <sheetFormatPr defaultRowHeight="15" outlineLevelRow="0" outlineLevelCol="0" x14ac:dyDescent="55"/>
  <cols>
    <col min="1" max="1" width="40" customWidth="1"/>
    <col min="2" max="7" width="14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spans="1:2" x14ac:dyDescent="0.25">
      <c r="A4" s="4" t="s">
        <v>92</v>
      </c>
      <c r="B4" s="11">
        <v>10</v>
      </c>
    </row>
    <row r="5" spans="1:3" x14ac:dyDescent="0.25">
      <c r="A5" s="4" t="s">
        <v>93</v>
      </c>
      <c r="B5" s="7">
        <v>0.05</v>
      </c>
      <c r="C5" s="2" t="s">
        <v>94</v>
      </c>
    </row>
    <row r="6" spans="1:3" x14ac:dyDescent="0.25">
      <c r="A6" s="9" t="s">
        <v>95</v>
      </c>
      <c r="B6" s="15">
        <f>B4/B5</f>
        <v>200</v>
      </c>
      <c r="C6" s="2" t="s">
        <v>96</v>
      </c>
    </row>
    <row r="8" spans="1:1" x14ac:dyDescent="0.25">
      <c r="A8" s="9" t="s">
        <v>97</v>
      </c>
    </row>
    <row r="9" spans="1:1" x14ac:dyDescent="0.25">
      <c r="A9" s="2" t="s">
        <v>98</v>
      </c>
    </row>
    <row r="10" spans="1:6" x14ac:dyDescent="0.25">
      <c r="A10" s="5" t="s">
        <v>99</v>
      </c>
      <c r="B10" s="16">
        <v>0.03</v>
      </c>
      <c r="C10" s="16">
        <v>0.04</v>
      </c>
      <c r="D10" s="16">
        <v>0.05</v>
      </c>
      <c r="E10" s="16">
        <v>0.06</v>
      </c>
      <c r="F10" s="16">
        <v>0.07</v>
      </c>
    </row>
    <row r="11" spans="1:6" x14ac:dyDescent="0.25">
      <c r="A11" s="17">
        <v>6</v>
      </c>
      <c r="B11" s="18">
        <f>$A11/B$10</f>
        <v>200</v>
      </c>
      <c r="C11" s="18">
        <f>$A11/C$10</f>
        <v>150</v>
      </c>
      <c r="D11" s="18">
        <f>$A11/D$10</f>
        <v>120</v>
      </c>
      <c r="E11" s="18">
        <f>$A11/E$10</f>
        <v>100</v>
      </c>
      <c r="F11" s="18">
        <f>$A11/F$10</f>
        <v>85.71428571428571</v>
      </c>
    </row>
    <row r="12" spans="1:6" x14ac:dyDescent="0.25">
      <c r="A12" s="17">
        <v>7</v>
      </c>
      <c r="B12" s="18">
        <f>$A12/B$10</f>
        <v>233.33333333333334</v>
      </c>
      <c r="C12" s="18">
        <f>$A12/C$10</f>
        <v>175</v>
      </c>
      <c r="D12" s="18">
        <f>$A12/D$10</f>
        <v>140</v>
      </c>
      <c r="E12" s="18">
        <f>$A12/E$10</f>
        <v>116.66666666666667</v>
      </c>
      <c r="F12" s="18">
        <f>$A12/F$10</f>
        <v>99.99999999999999</v>
      </c>
    </row>
    <row r="13" spans="1:6" x14ac:dyDescent="0.25">
      <c r="A13" s="17">
        <v>8</v>
      </c>
      <c r="B13" s="18">
        <f>$A13/B$10</f>
        <v>266.6666666666667</v>
      </c>
      <c r="C13" s="18">
        <f>$A13/C$10</f>
        <v>200</v>
      </c>
      <c r="D13" s="18">
        <f>$A13/D$10</f>
        <v>160</v>
      </c>
      <c r="E13" s="18">
        <f>$A13/E$10</f>
        <v>133.33333333333334</v>
      </c>
      <c r="F13" s="18">
        <f>$A13/F$10</f>
        <v>114.28571428571428</v>
      </c>
    </row>
    <row r="14" spans="1:6" x14ac:dyDescent="0.25">
      <c r="A14" s="17">
        <v>10</v>
      </c>
      <c r="B14" s="18">
        <f>$A14/B$10</f>
        <v>333.33333333333337</v>
      </c>
      <c r="C14" s="18">
        <f>$A14/C$10</f>
        <v>250</v>
      </c>
      <c r="D14" s="18">
        <f>$A14/D$10</f>
        <v>200</v>
      </c>
      <c r="E14" s="18">
        <f>$A14/E$10</f>
        <v>166.66666666666669</v>
      </c>
      <c r="F14" s="18">
        <f>$A14/F$10</f>
        <v>142.85714285714283</v>
      </c>
    </row>
    <row r="15" spans="1:6" x14ac:dyDescent="0.25">
      <c r="A15" s="17">
        <v>12</v>
      </c>
      <c r="B15" s="18">
        <f>$A15/B$10</f>
        <v>400</v>
      </c>
      <c r="C15" s="18">
        <f>$A15/C$10</f>
        <v>300</v>
      </c>
      <c r="D15" s="18">
        <f>$A15/D$10</f>
        <v>240</v>
      </c>
      <c r="E15" s="18">
        <f>$A15/E$10</f>
        <v>200</v>
      </c>
      <c r="F15" s="18">
        <f>$A15/F$10</f>
        <v>171.42857142857142</v>
      </c>
    </row>
    <row r="16" spans="1:6" x14ac:dyDescent="0.25">
      <c r="A16" s="17">
        <v>14</v>
      </c>
      <c r="B16" s="18">
        <f>$A16/B$10</f>
        <v>466.6666666666667</v>
      </c>
      <c r="C16" s="18">
        <f>$A16/C$10</f>
        <v>350</v>
      </c>
      <c r="D16" s="18">
        <f>$A16/D$10</f>
        <v>280</v>
      </c>
      <c r="E16" s="18">
        <f>$A16/E$10</f>
        <v>233.33333333333334</v>
      </c>
      <c r="F16" s="18">
        <f>$A16/F$10</f>
        <v>199.99999999999997</v>
      </c>
    </row>
    <row r="18" spans="1:1" x14ac:dyDescent="0.25">
      <c r="A18" s="2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 showGridLines="0"/>
  </sheetViews>
  <sheetFormatPr defaultRowHeight="15" outlineLevelRow="0" outlineLevelCol="0" x14ac:dyDescent="55"/>
  <cols>
    <col min="1" max="1" width="34" customWidth="1"/>
    <col min="2" max="10" width="15" customWidth="1"/>
  </cols>
  <sheetData>
    <row r="1" spans="1:1" x14ac:dyDescent="0.25">
      <c r="A1" s="1" t="s">
        <v>101</v>
      </c>
    </row>
    <row r="2" spans="1:1" x14ac:dyDescent="0.25">
      <c r="A2" s="2" t="s">
        <v>102</v>
      </c>
    </row>
    <row r="4" spans="2:8" x14ac:dyDescent="0.25">
      <c r="B4" s="19" t="s">
        <v>103</v>
      </c>
      <c r="E4" s="19" t="s">
        <v>104</v>
      </c>
      <c r="H4" s="19" t="s">
        <v>105</v>
      </c>
    </row>
    <row r="5" spans="1:8" x14ac:dyDescent="0.25">
      <c r="A5" s="4" t="s">
        <v>92</v>
      </c>
      <c r="B5" s="11">
        <v>7</v>
      </c>
      <c r="E5" s="11">
        <v>10</v>
      </c>
      <c r="H5" s="11">
        <v>14</v>
      </c>
    </row>
    <row r="6" spans="1:8" x14ac:dyDescent="0.25">
      <c r="A6" s="4" t="s">
        <v>93</v>
      </c>
      <c r="B6" s="7">
        <v>0.06</v>
      </c>
      <c r="E6" s="7">
        <v>0.05</v>
      </c>
      <c r="H6" s="7">
        <v>0.04</v>
      </c>
    </row>
    <row r="7" spans="1:8" x14ac:dyDescent="0.25">
      <c r="A7" s="4" t="s">
        <v>106</v>
      </c>
      <c r="B7" s="18">
        <f>'Start here'!$B$24</f>
        <v>20</v>
      </c>
      <c r="E7" s="18">
        <f>'Start here'!$B$24</f>
        <v>20</v>
      </c>
      <c r="H7" s="18">
        <f>'Start here'!$B$24</f>
        <v>20</v>
      </c>
    </row>
    <row r="9" spans="1:10" x14ac:dyDescent="0.25">
      <c r="A9" s="5" t="s">
        <v>107</v>
      </c>
      <c r="B9" s="5" t="s">
        <v>85</v>
      </c>
      <c r="C9" s="5" t="s">
        <v>108</v>
      </c>
      <c r="D9" s="5" t="s">
        <v>109</v>
      </c>
      <c r="E9" s="5" t="s">
        <v>85</v>
      </c>
      <c r="F9" s="5" t="s">
        <v>108</v>
      </c>
      <c r="G9" s="5" t="s">
        <v>109</v>
      </c>
      <c r="H9" s="5" t="s">
        <v>85</v>
      </c>
      <c r="I9" s="5" t="s">
        <v>108</v>
      </c>
      <c r="J9" s="5" t="s">
        <v>109</v>
      </c>
    </row>
    <row r="10" spans="1:10" x14ac:dyDescent="0.25">
      <c r="A10">
        <v>1</v>
      </c>
      <c r="B10" s="20">
        <f>B$7*(1-B$6)+B$5</f>
        <v>25.799999999999997</v>
      </c>
      <c r="C10" s="8">
        <f>B10*'Start here'!$B$22-'Monthly costs'!$B$14</f>
        <v>-4391.490000000001</v>
      </c>
      <c r="D10" s="8">
        <f>C10</f>
        <v>-4391.490000000001</v>
      </c>
      <c r="E10" s="20">
        <f>E$7*(1-E$6)+E$5</f>
        <v>29</v>
      </c>
      <c r="F10" s="8">
        <f>E10*'Start here'!$B$22-'Monthly costs'!$B$14</f>
        <v>-3972.4500000000003</v>
      </c>
      <c r="G10" s="8">
        <f>F10</f>
        <v>-3972.4500000000003</v>
      </c>
      <c r="H10" s="20">
        <f>H$7*(1-H$6)+H$5</f>
        <v>33.2</v>
      </c>
      <c r="I10" s="8">
        <f>H10*'Start here'!$B$22-'Monthly costs'!$B$14</f>
        <v>-3422.46</v>
      </c>
      <c r="J10" s="8">
        <f>I10</f>
        <v>-3422.46</v>
      </c>
    </row>
    <row r="11" spans="1:10" x14ac:dyDescent="0.25">
      <c r="A11">
        <v>2</v>
      </c>
      <c r="B11" s="20">
        <f>B10*(1-B$6)+B$5</f>
        <v>31.251999999999995</v>
      </c>
      <c r="C11" s="8">
        <f>B11*'Start here'!$B$22-'Monthly costs'!$B$14</f>
        <v>-3677.550600000001</v>
      </c>
      <c r="D11" s="8">
        <f>D10+C11</f>
        <v>-8069.040600000002</v>
      </c>
      <c r="E11" s="20">
        <f>E10*(1-E$6)+E$5</f>
        <v>37.55</v>
      </c>
      <c r="F11" s="8">
        <f>E11*'Start here'!$B$22-'Monthly costs'!$B$14</f>
        <v>-2852.8275000000012</v>
      </c>
      <c r="G11" s="8">
        <f>G10+F11</f>
        <v>-6825.277500000002</v>
      </c>
      <c r="H11" s="20">
        <f>H10*(1-H$6)+H$5</f>
        <v>45.872</v>
      </c>
      <c r="I11" s="8">
        <f>H11*'Start here'!$B$22-'Monthly costs'!$B$14</f>
        <v>-1763.061600000001</v>
      </c>
      <c r="J11" s="8">
        <f>J10+I11</f>
        <v>-5185.521600000001</v>
      </c>
    </row>
    <row r="12" spans="1:10" x14ac:dyDescent="0.25">
      <c r="A12">
        <v>3</v>
      </c>
      <c r="B12" s="20">
        <f>B11*(1-B$6)+B$5</f>
        <v>36.37687999999999</v>
      </c>
      <c r="C12" s="8">
        <f>B12*'Start here'!$B$22-'Monthly costs'!$B$14</f>
        <v>-3006.447564000001</v>
      </c>
      <c r="D12" s="8">
        <f>D11+C12</f>
        <v>-11075.488164000002</v>
      </c>
      <c r="E12" s="20">
        <f>E11*(1-E$6)+E$5</f>
        <v>45.67249999999999</v>
      </c>
      <c r="F12" s="8">
        <f>E12*'Start here'!$B$22-'Monthly costs'!$B$14</f>
        <v>-1789.186125000001</v>
      </c>
      <c r="G12" s="8">
        <f>G11+F12</f>
        <v>-8614.463625000004</v>
      </c>
      <c r="H12" s="20">
        <f>H11*(1-H$6)+H$5</f>
        <v>58.03712</v>
      </c>
      <c r="I12" s="8">
        <f>H12*'Start here'!$B$22-'Monthly costs'!$B$14</f>
        <v>-170.03913600000033</v>
      </c>
      <c r="J12" s="8">
        <f>J11+I12</f>
        <v>-5355.560736000001</v>
      </c>
    </row>
    <row r="13" spans="1:10" x14ac:dyDescent="0.25">
      <c r="A13">
        <v>4</v>
      </c>
      <c r="B13" s="20">
        <f>B12*(1-B$6)+B$5</f>
        <v>41.19426719999999</v>
      </c>
      <c r="C13" s="8">
        <f>B13*'Start here'!$B$22-'Monthly costs'!$B$14</f>
        <v>-2375.610710160002</v>
      </c>
      <c r="D13" s="8">
        <f>D12+C13</f>
        <v>-13451.098874160005</v>
      </c>
      <c r="E13" s="20">
        <f>E12*(1-E$6)+E$5</f>
        <v>53.38887499999999</v>
      </c>
      <c r="F13" s="8">
        <f>E13*'Start here'!$B$22-'Monthly costs'!$B$14</f>
        <v>-778.7268187500013</v>
      </c>
      <c r="G13" s="8">
        <f>G12+F13</f>
        <v>-9393.190443750005</v>
      </c>
      <c r="H13" s="20">
        <f>H12*(1-H$6)+H$5</f>
        <v>69.71563520000001</v>
      </c>
      <c r="I13" s="8">
        <f>H13*'Start here'!$B$22-'Monthly costs'!$B$14</f>
        <v>1359.2624294400011</v>
      </c>
      <c r="J13" s="8">
        <f>J12+I13</f>
        <v>-3996.29830656</v>
      </c>
    </row>
    <row r="14" spans="1:10" x14ac:dyDescent="0.25">
      <c r="A14">
        <v>5</v>
      </c>
      <c r="B14" s="20">
        <f>B13*(1-B$6)+B$5</f>
        <v>45.72261116799999</v>
      </c>
      <c r="C14" s="8">
        <f>B14*'Start here'!$B$22-'Monthly costs'!$B$14</f>
        <v>-1782.6240675504014</v>
      </c>
      <c r="D14" s="8">
        <f>D13+C14</f>
        <v>-15233.722941710406</v>
      </c>
      <c r="E14" s="20">
        <f>E13*(1-E$6)+E$5</f>
        <v>60.71943124999999</v>
      </c>
      <c r="F14" s="8">
        <f>E14*'Start here'!$B$22-'Monthly costs'!$B$14</f>
        <v>181.2095221874979</v>
      </c>
      <c r="G14" s="8">
        <f>G13+F14</f>
        <v>-9211.980921562506</v>
      </c>
      <c r="H14" s="20">
        <f>H13*(1-H$6)+H$5</f>
        <v>80.927009792</v>
      </c>
      <c r="I14" s="8">
        <f>H14*'Start here'!$B$22-'Monthly costs'!$B$14</f>
        <v>2827.3919322624006</v>
      </c>
      <c r="J14" s="8">
        <f>J13+I14</f>
        <v>-1168.9063742975995</v>
      </c>
    </row>
    <row r="15" spans="1:10" x14ac:dyDescent="0.25">
      <c r="A15">
        <v>6</v>
      </c>
      <c r="B15" s="20">
        <f>B14*(1-B$6)+B$5</f>
        <v>49.97925449791999</v>
      </c>
      <c r="C15" s="8">
        <f>B15*'Start here'!$B$22-'Monthly costs'!$B$14</f>
        <v>-1225.2166234973784</v>
      </c>
      <c r="D15" s="8">
        <f>D14+C15</f>
        <v>-16458.939565207784</v>
      </c>
      <c r="E15" s="20">
        <f>E14*(1-E$6)+E$5</f>
        <v>67.68345968749999</v>
      </c>
      <c r="F15" s="8">
        <f>E15*'Start here'!$B$22-'Monthly costs'!$B$14</f>
        <v>1093.1490460781224</v>
      </c>
      <c r="G15" s="8">
        <f>G14+F15</f>
        <v>-8118.831875484384</v>
      </c>
      <c r="H15" s="20">
        <f>H14*(1-H$6)+H$5</f>
        <v>91.68992940032</v>
      </c>
      <c r="I15" s="8">
        <f>H15*'Start here'!$B$22-'Monthly costs'!$B$14</f>
        <v>4236.796254971903</v>
      </c>
      <c r="J15" s="8">
        <f>J14+I15</f>
        <v>3067.8898806743036</v>
      </c>
    </row>
    <row r="16" spans="1:10" x14ac:dyDescent="0.25">
      <c r="A16">
        <v>7</v>
      </c>
      <c r="B16" s="20">
        <f>B15*(1-B$6)+B$5</f>
        <v>53.980499228044785</v>
      </c>
      <c r="C16" s="8">
        <f>B16*'Start here'!$B$22-'Monthly costs'!$B$14</f>
        <v>-701.2536260875358</v>
      </c>
      <c r="D16" s="8">
        <f>D15+C16</f>
        <v>-17160.19319129532</v>
      </c>
      <c r="E16" s="20">
        <f>E15*(1-E$6)+E$5</f>
        <v>74.29928670312499</v>
      </c>
      <c r="F16" s="8">
        <f>E16*'Start here'!$B$22-'Monthly costs'!$B$14</f>
        <v>1959.491593774217</v>
      </c>
      <c r="G16" s="8">
        <f>G15+F16</f>
        <v>-6159.340281710167</v>
      </c>
      <c r="H16" s="20">
        <f>H15*(1-H$6)+H$5</f>
        <v>102.02233222430719</v>
      </c>
      <c r="I16" s="8">
        <f>H16*'Start here'!$B$22-'Monthly costs'!$B$14</f>
        <v>5589.824404773026</v>
      </c>
      <c r="J16" s="8">
        <f>J15+I16</f>
        <v>8657.71428544733</v>
      </c>
    </row>
    <row r="17" spans="1:10" x14ac:dyDescent="0.25">
      <c r="A17">
        <v>8</v>
      </c>
      <c r="B17" s="20">
        <f>B16*(1-B$6)+B$5</f>
        <v>57.741669274362096</v>
      </c>
      <c r="C17" s="8">
        <f>B17*'Start here'!$B$22-'Monthly costs'!$B$14</f>
        <v>-208.72840852228455</v>
      </c>
      <c r="D17" s="8">
        <f>D16+C17</f>
        <v>-17368.921599817604</v>
      </c>
      <c r="E17" s="20">
        <f>E16*(1-E$6)+E$5</f>
        <v>80.58432236796874</v>
      </c>
      <c r="F17" s="8">
        <f>E17*'Start here'!$B$22-'Monthly costs'!$B$14</f>
        <v>2782.517014085506</v>
      </c>
      <c r="G17" s="8">
        <f>G16+F17</f>
        <v>-3376.8232676246607</v>
      </c>
      <c r="H17" s="20">
        <f>H16*(1-H$6)+H$5</f>
        <v>111.9414389353349</v>
      </c>
      <c r="I17" s="8">
        <f>H17*'Start here'!$B$22-'Monthly costs'!$B$14</f>
        <v>6888.731428582105</v>
      </c>
      <c r="J17" s="8">
        <f>J16+I17</f>
        <v>15546.445714029434</v>
      </c>
    </row>
    <row r="18" spans="1:10" x14ac:dyDescent="0.25">
      <c r="A18">
        <v>9</v>
      </c>
      <c r="B18" s="20">
        <f>B17*(1-B$6)+B$5</f>
        <v>61.277169117900364</v>
      </c>
      <c r="C18" s="8">
        <f>B18*'Start here'!$B$22-'Monthly costs'!$B$14</f>
        <v>254.24529598905156</v>
      </c>
      <c r="D18" s="8">
        <f>D17+C18</f>
        <v>-17114.676303828554</v>
      </c>
      <c r="E18" s="20">
        <f>E17*(1-E$6)+E$5</f>
        <v>86.5551062495703</v>
      </c>
      <c r="F18" s="8">
        <f>E18*'Start here'!$B$22-'Monthly costs'!$B$14</f>
        <v>3564.3911633812295</v>
      </c>
      <c r="G18" s="8">
        <f>G17+F18</f>
        <v>187.56789575656876</v>
      </c>
      <c r="H18" s="20">
        <f>H17*(1-H$6)+H$5</f>
        <v>121.4637813779215</v>
      </c>
      <c r="I18" s="8">
        <f>H18*'Start here'!$B$22-'Monthly costs'!$B$14</f>
        <v>8135.682171438821</v>
      </c>
      <c r="J18" s="8">
        <f>J17+I18</f>
        <v>23682.127885468253</v>
      </c>
    </row>
    <row r="19" spans="1:10" x14ac:dyDescent="0.25">
      <c r="A19">
        <v>10</v>
      </c>
      <c r="B19" s="20">
        <f>B18*(1-B$6)+B$5</f>
        <v>64.60053897082634</v>
      </c>
      <c r="C19" s="8">
        <f>B19*'Start here'!$B$22-'Monthly costs'!$B$14</f>
        <v>689.4405782297072</v>
      </c>
      <c r="D19" s="8">
        <f>D18+C19</f>
        <v>-16425.235725598846</v>
      </c>
      <c r="E19" s="20">
        <f>E18*(1-E$6)+E$5</f>
        <v>92.22735093709178</v>
      </c>
      <c r="F19" s="8">
        <f>E19*'Start here'!$B$22-'Monthly costs'!$B$14</f>
        <v>4307.171605212168</v>
      </c>
      <c r="G19" s="8">
        <f>G18+F19</f>
        <v>4494.739500968737</v>
      </c>
      <c r="H19" s="20">
        <f>H18*(1-H$6)+H$5</f>
        <v>130.60523012280464</v>
      </c>
      <c r="I19" s="8">
        <f>H19*'Start here'!$B$22-'Monthly costs'!$B$14</f>
        <v>9332.754884581267</v>
      </c>
      <c r="J19" s="8">
        <f>J18+I19</f>
        <v>33014.88277004952</v>
      </c>
    </row>
    <row r="20" spans="1:10" x14ac:dyDescent="0.25">
      <c r="A20">
        <v>11</v>
      </c>
      <c r="B20" s="20">
        <f>B19*(1-B$6)+B$5</f>
        <v>67.72450663257675</v>
      </c>
      <c r="C20" s="8">
        <f>B20*'Start here'!$B$22-'Monthly costs'!$B$14</f>
        <v>1098.524143535924</v>
      </c>
      <c r="D20" s="8">
        <f>D19+C20</f>
        <v>-15326.711582062922</v>
      </c>
      <c r="E20" s="20">
        <f>E19*(1-E$6)+E$5</f>
        <v>97.61598339023719</v>
      </c>
      <c r="F20" s="8">
        <f>E20*'Start here'!$B$22-'Monthly costs'!$B$14</f>
        <v>5012.81302495156</v>
      </c>
      <c r="G20" s="8">
        <f>G19+F20</f>
        <v>9507.552525920297</v>
      </c>
      <c r="H20" s="20">
        <f>H19*(1-H$6)+H$5</f>
        <v>139.38102091789244</v>
      </c>
      <c r="I20" s="8">
        <f>H20*'Start here'!$B$22-'Monthly costs'!$B$14</f>
        <v>10481.944689198015</v>
      </c>
      <c r="J20" s="8">
        <f>J19+I20</f>
        <v>43496.827459247535</v>
      </c>
    </row>
    <row r="21" spans="1:10" x14ac:dyDescent="0.25">
      <c r="A21">
        <v>12</v>
      </c>
      <c r="B21" s="20">
        <f>B20*(1-B$6)+B$5</f>
        <v>70.66103623462215</v>
      </c>
      <c r="C21" s="8">
        <f>B21*'Start here'!$B$22-'Monthly costs'!$B$14</f>
        <v>1483.0626949237685</v>
      </c>
      <c r="D21" s="8">
        <f>D20+C21</f>
        <v>-13843.648887139154</v>
      </c>
      <c r="E21" s="20">
        <f>E20*(1-E$6)+E$5</f>
        <v>102.73518422072533</v>
      </c>
      <c r="F21" s="8">
        <f>E21*'Start here'!$B$22-'Monthly costs'!$B$14</f>
        <v>5683.172373703981</v>
      </c>
      <c r="G21" s="8">
        <f>G20+F21</f>
        <v>15190.724899624278</v>
      </c>
      <c r="H21" s="20">
        <f>H20*(1-H$6)+H$5</f>
        <v>147.80578008117675</v>
      </c>
      <c r="I21" s="8">
        <f>H21*'Start here'!$B$22-'Monthly costs'!$B$14</f>
        <v>11585.166901630095</v>
      </c>
      <c r="J21" s="8">
        <f>J20+I21</f>
        <v>55081.99436087763</v>
      </c>
    </row>
    <row r="23" spans="1:8" x14ac:dyDescent="0.25">
      <c r="A23" s="9" t="s">
        <v>110</v>
      </c>
      <c r="B23" s="3">
        <f>IF(COUNTIF(B10:B21,"&lt;"&amp;'Break-even'!$B$8)&gt;=12,"Not in year 1",COUNTIF(B10:B21,"&lt;"&amp;'Break-even'!$B$8)+1)</f>
        <v>9</v>
      </c>
      <c r="E23" s="3">
        <f>IF(COUNTIF(E10:E21,"&lt;"&amp;'Break-even'!$B$8)&gt;=12,"Not in year 1",COUNTIF(E10:E21,"&lt;"&amp;'Break-even'!$B$8)+1)</f>
        <v>5</v>
      </c>
      <c r="H23" s="3">
        <f>IF(COUNTIF(H10:H21,"&lt;"&amp;'Break-even'!$B$8)&gt;=12,"Not in year 1",COUNTIF(H10:H21,"&lt;"&amp;'Break-even'!$B$8)+1)</f>
        <v>4</v>
      </c>
    </row>
    <row r="24" spans="1:8" x14ac:dyDescent="0.25">
      <c r="A24" s="9" t="s">
        <v>111</v>
      </c>
      <c r="B24" s="3" t="str">
        <f>IF(COUNTIF(B10:B21,"&lt;"&amp;'Break-even'!$B$9)&gt;=12,"Not in year 1",COUNTIF(B10:B21,"&lt;"&amp;'Break-even'!$B$9)+1)</f>
        <v>Not in year 1</v>
      </c>
      <c r="E24" s="3">
        <f>IF(COUNTIF(E10:E21,"&lt;"&amp;'Break-even'!$B$9)&gt;=12,"Not in year 1",COUNTIF(E10:E21,"&lt;"&amp;'Break-even'!$B$9)+1)</f>
        <v>10</v>
      </c>
      <c r="H24" s="3">
        <f>IF(COUNTIF(H10:H21,"&lt;"&amp;'Break-even'!$B$9)&gt;=12,"Not in year 1",COUNTIF(H10:H21,"&lt;"&amp;'Break-even'!$B$9)+1)</f>
        <v>6</v>
      </c>
    </row>
    <row r="25" spans="1:8" x14ac:dyDescent="0.25">
      <c r="A25" s="9" t="s">
        <v>112</v>
      </c>
      <c r="B25" s="21">
        <f>B$5/B$6</f>
        <v>116.66666666666667</v>
      </c>
      <c r="E25" s="21">
        <f>E$5/E$6</f>
        <v>200</v>
      </c>
      <c r="H25" s="21">
        <f>H$5/H$6</f>
        <v>350</v>
      </c>
    </row>
    <row r="26" spans="1:8" x14ac:dyDescent="0.25">
      <c r="A26" s="4" t="s">
        <v>113</v>
      </c>
      <c r="B26" s="8">
        <f>MIN(D10:D21)</f>
        <v>-17368.921599817604</v>
      </c>
      <c r="E26" s="8">
        <f>MIN(G10:G21)</f>
        <v>-9393.190443750005</v>
      </c>
      <c r="H26" s="8">
        <f>MIN(J10:J21)</f>
        <v>-5355.560736000001</v>
      </c>
    </row>
    <row r="27" spans="1:8" x14ac:dyDescent="0.25">
      <c r="A27" s="4" t="s">
        <v>114</v>
      </c>
      <c r="B27" s="8">
        <f>'Startup costs'!$B$16</f>
        <v>28000</v>
      </c>
      <c r="E27" s="8">
        <f>'Startup costs'!$B$16</f>
        <v>28000</v>
      </c>
      <c r="H27" s="8">
        <f>'Startup costs'!$B$16</f>
        <v>28000</v>
      </c>
    </row>
    <row r="28" spans="1:8" x14ac:dyDescent="0.25">
      <c r="A28" s="9" t="s">
        <v>115</v>
      </c>
      <c r="B28" s="13">
        <f>B27+B26</f>
        <v>10631.078400182396</v>
      </c>
      <c r="E28" s="13">
        <f>E27+E26</f>
        <v>18606.809556249995</v>
      </c>
      <c r="H28" s="13">
        <f>H27+H26</f>
        <v>22644.439264</v>
      </c>
    </row>
    <row r="29" spans="1:8" x14ac:dyDescent="0.25">
      <c r="A29" s="4" t="s">
        <v>116</v>
      </c>
      <c r="B29" s="18">
        <f>SUM(B10:B21)</f>
        <v>606.3104323242524</v>
      </c>
      <c r="E29" s="18">
        <f>SUM(E10:E21)</f>
        <v>828.0314998062181</v>
      </c>
      <c r="H29" s="18">
        <f>SUM(H10:H21)</f>
        <v>1132.6612780517576</v>
      </c>
    </row>
    <row r="31" spans="1:1" x14ac:dyDescent="0.25">
      <c r="A31" s="2" t="s">
        <v>117</v>
      </c>
    </row>
    <row r="32" spans="1:1" x14ac:dyDescent="0.25">
      <c r="A32" s="2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/>
  </sheetViews>
  <sheetFormatPr defaultRowHeight="15" outlineLevelRow="0" outlineLevelCol="0" x14ac:dyDescent="55"/>
  <cols>
    <col min="1" max="1" width="44" customWidth="1"/>
    <col min="2" max="5" width="16" customWidth="1"/>
  </cols>
  <sheetData>
    <row r="1" spans="1:1" x14ac:dyDescent="0.25">
      <c r="A1" s="1" t="s">
        <v>119</v>
      </c>
    </row>
    <row r="2" spans="1:1" x14ac:dyDescent="0.25">
      <c r="A2" s="2" t="s">
        <v>120</v>
      </c>
    </row>
    <row r="4" spans="1:5" x14ac:dyDescent="0.25">
      <c r="A4" s="5" t="s">
        <v>121</v>
      </c>
      <c r="B4" s="5" t="s">
        <v>122</v>
      </c>
      <c r="C4" s="5" t="s">
        <v>123</v>
      </c>
      <c r="D4" s="5" t="s">
        <v>124</v>
      </c>
      <c r="E4" s="5" t="s">
        <v>125</v>
      </c>
    </row>
    <row r="5" spans="1:6" x14ac:dyDescent="0.25">
      <c r="A5" s="4" t="s">
        <v>126</v>
      </c>
      <c r="B5" s="18">
        <f>'12-month scenarios'!$E$29</f>
        <v>828.0314998062181</v>
      </c>
      <c r="C5" s="8">
        <f>'Start here'!B20</f>
        <v>135</v>
      </c>
      <c r="E5" s="8">
        <f>B5*C5</f>
        <v>111784.25247383944</v>
      </c>
      <c r="F5" s="2" t="s">
        <v>127</v>
      </c>
    </row>
    <row r="6" spans="1:5" x14ac:dyDescent="0.25">
      <c r="A6" s="4" t="s">
        <v>128</v>
      </c>
      <c r="B6" s="18">
        <f>B5</f>
        <v>828.0314998062181</v>
      </c>
      <c r="C6" s="6">
        <v>10</v>
      </c>
      <c r="E6" s="8">
        <f>B6*C6</f>
        <v>8280.314998062182</v>
      </c>
    </row>
    <row r="7" spans="1:5" x14ac:dyDescent="0.25">
      <c r="A7" s="4" t="s">
        <v>129</v>
      </c>
      <c r="B7" s="11">
        <v>3</v>
      </c>
      <c r="C7" s="6">
        <v>250</v>
      </c>
      <c r="D7" s="11">
        <v>20</v>
      </c>
      <c r="E7" s="8">
        <f>B7*C7*D7</f>
        <v>15000</v>
      </c>
    </row>
    <row r="8" spans="1:5" x14ac:dyDescent="0.25">
      <c r="A8" s="4" t="s">
        <v>130</v>
      </c>
      <c r="B8" s="11">
        <v>16</v>
      </c>
      <c r="C8" s="6">
        <v>300</v>
      </c>
      <c r="E8" s="8">
        <f>B8*C8</f>
        <v>4800</v>
      </c>
    </row>
    <row r="9" spans="1:5" x14ac:dyDescent="0.25">
      <c r="A9" s="9" t="s">
        <v>131</v>
      </c>
      <c r="E9" s="12">
        <f>SUM(E5:E8)</f>
        <v>139864.56747190162</v>
      </c>
    </row>
    <row r="11" spans="1:5" x14ac:dyDescent="0.25">
      <c r="A11" s="5" t="s">
        <v>132</v>
      </c>
      <c r="B11" s="5" t="s">
        <v>8</v>
      </c>
      <c r="C11" s="5" t="s">
        <v>8</v>
      </c>
      <c r="D11" s="5" t="s">
        <v>8</v>
      </c>
      <c r="E11" s="5" t="s">
        <v>125</v>
      </c>
    </row>
    <row r="12" spans="1:5" x14ac:dyDescent="0.25">
      <c r="A12" s="4" t="s">
        <v>133</v>
      </c>
      <c r="E12" s="8">
        <f>'Monthly costs'!$B$14*12</f>
        <v>93240</v>
      </c>
    </row>
    <row r="13" spans="1:5" x14ac:dyDescent="0.25">
      <c r="A13" s="4" t="s">
        <v>134</v>
      </c>
      <c r="B13" s="22">
        <f>'Start here'!B21</f>
        <v>0.03</v>
      </c>
      <c r="E13" s="8">
        <f>E9*B13</f>
        <v>4195.937024157049</v>
      </c>
    </row>
    <row r="14" spans="1:5" x14ac:dyDescent="0.25">
      <c r="A14" s="4" t="s">
        <v>135</v>
      </c>
      <c r="E14" s="6">
        <v>5000</v>
      </c>
    </row>
    <row r="15" spans="1:5" x14ac:dyDescent="0.25">
      <c r="A15" s="9" t="s">
        <v>136</v>
      </c>
      <c r="E15" s="13">
        <f>SUM(E12:E14)</f>
        <v>102435.93702415704</v>
      </c>
    </row>
    <row r="17" spans="1:5" x14ac:dyDescent="0.25">
      <c r="A17" s="9" t="s">
        <v>137</v>
      </c>
      <c r="E17" s="23">
        <f>E9-E15</f>
        <v>37428.63044774458</v>
      </c>
    </row>
    <row r="18" spans="1:5" x14ac:dyDescent="0.25">
      <c r="A18" s="4" t="s">
        <v>138</v>
      </c>
      <c r="E18" s="8">
        <f>'Start here'!B23*12</f>
        <v>48000</v>
      </c>
    </row>
    <row r="19" spans="1:5" x14ac:dyDescent="0.25">
      <c r="A19" s="9" t="s">
        <v>139</v>
      </c>
      <c r="E19" s="13">
        <f>E17-E18</f>
        <v>-10571.369552255419</v>
      </c>
    </row>
    <row r="21" spans="1:1" x14ac:dyDescent="0.25">
      <c r="A21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Monthly costs</vt:lpstr>
      <vt:lpstr>Startup costs</vt:lpstr>
      <vt:lpstr>Break-even</vt:lpstr>
      <vt:lpstr>Retention ceiling</vt:lpstr>
      <vt:lpstr>12-month scenarios</vt:lpstr>
      <vt:lpstr>Year-1 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Pembee</dc:creator>
  <dc:title>Martial Arts Break-Even Calculator</dc:title>
  <dc:subject/>
  <dc:description/>
  <cp:keywords/>
  <cp:category/>
  <cp:lastModifiedBy>Unknown</cp:lastModifiedBy>
  <dcterms:created xsi:type="dcterms:W3CDTF">2026-09-25T10:44:57Z</dcterms:created>
  <dcterms:modified xsi:type="dcterms:W3CDTF">2026-09-25T10:44:57Z</dcterms:modified>
</cp:coreProperties>
</file>